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P vs Lump Sum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<sst xmlns="http://schemas.openxmlformats.org/spreadsheetml/2006/main" count="18" uniqueCount="13">
  <si>
    <t xml:space="preserve">SIP vs Lump Sum Investment Calculator</t>
  </si>
  <si>
    <t xml:space="preserve">INPUTS</t>
  </si>
  <si>
    <t xml:space="preserve">Monthly SIP (₹)</t>
  </si>
  <si>
    <t xml:space="preserve">Lump Sum (₹)</t>
  </si>
  <si>
    <t xml:space="preserve">Return Rate (%)</t>
  </si>
  <si>
    <t xml:space="preserve">SIP GROWTH TABLE</t>
  </si>
  <si>
    <t xml:space="preserve">LUMP SUM GROWTH TABLE</t>
  </si>
  <si>
    <t xml:space="preserve">Year</t>
  </si>
  <si>
    <t xml:space="preserve">Invested (₹)</t>
  </si>
  <si>
    <t xml:space="preserve">Portfolio (₹)</t>
  </si>
  <si>
    <t xml:space="preserve">Gain (₹)</t>
  </si>
  <si>
    <t xml:space="preserve">Gain %</t>
  </si>
  <si>
    <t xml:space="preserve">POWER OF COMPOUNDING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</si>
</sst>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1"/>
      <color rgb="FFD4AF37"/>
      <name val="Arial"/>
      <family val="0"/>
      <charset val="1"/>
    </font>
    <font>
      <b val="true"/>
      <sz val="10"/>
      <color rgb="FFD4AF37"/>
      <name val="Arial"/>
      <family val="0"/>
      <charset val="1"/>
    </font>
    <font>
      <sz val="10"/>
      <color rgb="FF00B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2"/>
      <color rgb="FFD4AF37"/>
      <name val="Arial"/>
      <family val="0"/>
      <charset val="1"/>
    </font>
    <font>
      <b val="true"/>
      <sz val="10"/>
      <color rgb="FF2D8B57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0D0D1A"/>
        <bgColor rgb="FF1A1A2E"/>
      </patternFill>
    </fill>
    <fill>
      <patternFill patternType="solid">
        <fgColor rgb="FF1A1A2E"/>
        <bgColor rgb="FF0D0D1A"/>
      </patternFill>
    </fill>
    <fill>
      <patternFill patternType="solid">
        <fgColor rgb="FF333344"/>
        <bgColor rgb="FF444444"/>
      </patternFill>
    </fill>
    <fill>
      <patternFill patternType="solid">
        <fgColor rgb="FF3D5C3A"/>
        <bgColor rgb="FF3D6B3A"/>
      </patternFill>
    </fill>
    <fill>
      <patternFill patternType="solid">
        <fgColor rgb="FF3D6B3A"/>
        <bgColor rgb="FF3D7A3A"/>
      </patternFill>
    </fill>
    <fill>
      <patternFill patternType="solid">
        <fgColor rgb="FF3D7A3A"/>
        <bgColor rgb="FF3D6B3A"/>
      </patternFill>
    </fill>
    <fill>
      <patternFill patternType="solid">
        <fgColor rgb="FF3D8A3A"/>
        <bgColor rgb="FF3D7A3A"/>
      </patternFill>
    </fill>
    <fill>
      <patternFill patternType="solid">
        <fgColor rgb="FF3D9A3A"/>
        <bgColor rgb="FF3D8A3A"/>
      </patternFill>
    </fill>
    <fill>
      <patternFill patternType="solid">
        <fgColor rgb="FF2D8B57"/>
        <bgColor rgb="FF3D8A3A"/>
      </patternFill>
    </fill>
    <fill>
      <patternFill patternType="solid">
        <fgColor rgb="FF2D9B67"/>
        <bgColor rgb="FF2D8B57"/>
      </patternFill>
    </fill>
    <fill>
      <patternFill patternType="solid">
        <fgColor rgb="FF2DAB77"/>
        <bgColor rgb="FF2DBB87"/>
      </patternFill>
    </fill>
    <fill>
      <patternFill patternType="solid">
        <fgColor rgb="FF2DBB87"/>
        <bgColor rgb="FF2DAB77"/>
      </patternFill>
    </fill>
    <fill>
      <patternFill patternType="solid">
        <fgColor rgb="FF2DCB97"/>
        <bgColor rgb="FF2DDB97"/>
      </patternFill>
    </fill>
    <fill>
      <patternFill patternType="solid">
        <fgColor rgb="FF2DDB97"/>
        <bgColor rgb="FF1DDB87"/>
      </patternFill>
    </fill>
    <fill>
      <patternFill patternType="solid">
        <fgColor rgb="FF1DDB87"/>
        <bgColor rgb="FF2DDB97"/>
      </patternFill>
    </fill>
    <fill>
      <patternFill patternType="solid">
        <fgColor rgb="FF1DEB87"/>
        <bgColor rgb="FF1DFB87"/>
      </patternFill>
    </fill>
    <fill>
      <patternFill patternType="solid">
        <fgColor rgb="FF1DFB87"/>
        <bgColor rgb="FF0DFB77"/>
      </patternFill>
    </fill>
    <fill>
      <patternFill patternType="solid">
        <fgColor rgb="FF0DFB77"/>
        <bgColor rgb="FF1DFB87"/>
      </patternFill>
    </fill>
    <fill>
      <patternFill patternType="solid">
        <fgColor rgb="FF0DEB67"/>
        <bgColor rgb="FF0DDB57"/>
      </patternFill>
    </fill>
    <fill>
      <patternFill patternType="solid">
        <fgColor rgb="FF0DDB57"/>
        <bgColor rgb="FF0DEB67"/>
      </patternFill>
    </fill>
    <fill>
      <patternFill patternType="solid">
        <fgColor rgb="FF0DCB47"/>
        <bgColor rgb="FF0DDB57"/>
      </patternFill>
    </fill>
    <fill>
      <patternFill patternType="solid">
        <fgColor rgb="FF0DBB37"/>
        <bgColor rgb="FF0DCB47"/>
      </patternFill>
    </fill>
    <fill>
      <patternFill patternType="solid">
        <fgColor rgb="FF0DAB27"/>
        <bgColor rgb="FF0D9B17"/>
      </patternFill>
    </fill>
    <fill>
      <patternFill patternType="solid">
        <fgColor rgb="FF0D9B17"/>
        <bgColor rgb="FF0DAB27"/>
      </patternFill>
    </fill>
    <fill>
      <patternFill patternType="solid">
        <fgColor rgb="FF0D8B07"/>
        <bgColor rgb="FF0D7B00"/>
      </patternFill>
    </fill>
    <fill>
      <patternFill patternType="solid">
        <fgColor rgb="FF0D7B00"/>
        <bgColor rgb="FF0D6B00"/>
      </patternFill>
    </fill>
    <fill>
      <patternFill patternType="solid">
        <fgColor rgb="FF0D6B00"/>
        <bgColor rgb="FF0D7B00"/>
      </patternFill>
    </fill>
    <fill>
      <patternFill patternType="solid">
        <fgColor rgb="FF0D5B00"/>
        <bgColor rgb="FF0D6B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DEB67"/>
      <rgbColor rgb="FF0000FF"/>
      <rgbColor rgb="FFFFFF00"/>
      <rgbColor rgb="FFFF00FF"/>
      <rgbColor rgb="FF1DFB87"/>
      <rgbColor rgb="FF800000"/>
      <rgbColor rgb="FF0D7B00"/>
      <rgbColor rgb="FF0D0D1A"/>
      <rgbColor rgb="FF3D8A3A"/>
      <rgbColor rgb="FF800080"/>
      <rgbColor rgb="FF2D8B57"/>
      <rgbColor rgb="FF0DDB57"/>
      <rgbColor rgb="FF878787"/>
      <rgbColor rgb="FF1DDB87"/>
      <rgbColor rgb="FFC0504D"/>
      <rgbColor rgb="FFF9F9F9"/>
      <rgbColor rgb="FF0DCB47"/>
      <rgbColor rgb="FF660066"/>
      <rgbColor rgb="FFFF8080"/>
      <rgbColor rgb="FF3D6B3A"/>
      <rgbColor rgb="FFD9D9D9"/>
      <rgbColor rgb="FF0D9B17"/>
      <rgbColor rgb="FFFF00FF"/>
      <rgbColor rgb="FFFFFF00"/>
      <rgbColor rgb="FF1DEB87"/>
      <rgbColor rgb="FF800080"/>
      <rgbColor rgb="FF800000"/>
      <rgbColor rgb="FF3D7A3A"/>
      <rgbColor rgb="FF0000FF"/>
      <rgbColor rgb="FF00BFFF"/>
      <rgbColor rgb="FFCCFFFF"/>
      <rgbColor rgb="FF0DFB77"/>
      <rgbColor rgb="FFFFFF99"/>
      <rgbColor rgb="FF2DDB97"/>
      <rgbColor rgb="FFFF99CC"/>
      <rgbColor rgb="FF0DBB37"/>
      <rgbColor rgb="FFFFCC99"/>
      <rgbColor rgb="FF2DAB77"/>
      <rgbColor rgb="FF2DCB97"/>
      <rgbColor rgb="FF2DBB87"/>
      <rgbColor rgb="FF0DAB27"/>
      <rgbColor rgb="FFD4AF37"/>
      <rgbColor rgb="FFFF6600"/>
      <rgbColor rgb="FF4F81BD"/>
      <rgbColor rgb="FF3D9A3A"/>
      <rgbColor rgb="FF0D5B00"/>
      <rgbColor rgb="FF2D9B67"/>
      <rgbColor rgb="FF1A1A2E"/>
      <rgbColor rgb="FF444444"/>
      <rgbColor rgb="FF0D6B00"/>
      <rgbColor rgb="FF0D8B07"/>
      <rgbColor rgb="FF3D5C3A"/>
      <rgbColor rgb="FF3333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SIP vs Lump Sum Growth (25 Years)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areaChart>
        <c:grouping val="standard"/>
        <c:ser>
          <c:idx val="0"/>
          <c:order val="0"/>
          <c:tx>
            <c:strRef>
              <c:f>'SIP vs Lump Sum'!C9</c:f>
              <c:strCache>
                <c:ptCount val="1"/>
                <c:pt idx="0">
                  <c:v>Portfolio (₹)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'SIP vs Lump Sum'!$A$10:$A$34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cat>
          <c:val>
            <c:numRef>
              <c:f>'SIP vs Lump Sum'!$C$10:$C$34</c:f>
              <c:numCache>
                <c:formatCode>#,##0</c:formatCode>
                <c:ptCount val="25"/>
                <c:pt idx="0">
                  <c:v>128093.280433289</c:v>
                </c:pt>
                <c:pt idx="1">
                  <c:v>272431.995017234</c:v>
                </c:pt>
                <c:pt idx="2">
                  <c:v>435076.471427497</c:v>
                </c:pt>
                <c:pt idx="3">
                  <c:v>618348.33845929</c:v>
                </c:pt>
                <c:pt idx="4">
                  <c:v>824863.665549732</c:v>
                </c:pt>
                <c:pt idx="5">
                  <c:v>1057570.30522113</c:v>
                </c:pt>
                <c:pt idx="6">
                  <c:v>1319789.97148077</c:v>
                </c:pt>
                <c:pt idx="7">
                  <c:v>1615265.65481498</c:v>
                </c:pt>
                <c:pt idx="8">
                  <c:v>1948215.05059131</c:v>
                </c:pt>
                <c:pt idx="9">
                  <c:v>2323390.76351941</c:v>
                </c:pt>
                <c:pt idx="10">
                  <c:v>2746148.14754438</c:v>
                </c:pt>
                <c:pt idx="11">
                  <c:v>3222521.74953684</c:v>
                </c:pt>
                <c:pt idx="12">
                  <c:v>3759311.44795607</c:v>
                </c:pt>
                <c:pt idx="13">
                  <c:v>4364179.51605185</c:v>
                </c:pt>
                <c:pt idx="14">
                  <c:v>5045759.99510974</c:v>
                </c:pt>
                <c:pt idx="15">
                  <c:v>5813781.93896151</c:v>
                </c:pt>
                <c:pt idx="16">
                  <c:v>6679208.28898429</c:v>
                </c:pt>
                <c:pt idx="17">
                  <c:v>7654392.36192572</c:v>
                </c:pt>
                <c:pt idx="18">
                  <c:v>8753254.18430216</c:v>
                </c:pt>
                <c:pt idx="19">
                  <c:v>9991479.19041236</c:v>
                </c:pt>
                <c:pt idx="20">
                  <c:v>11386742.1202326</c:v>
                </c:pt>
                <c:pt idx="21">
                  <c:v>12958959.3131694</c:v>
                </c:pt>
                <c:pt idx="22">
                  <c:v>14730572.9989744</c:v>
                </c:pt>
                <c:pt idx="23">
                  <c:v>16726871.6438638</c:v>
                </c:pt>
                <c:pt idx="24">
                  <c:v>18976350.9245437</c:v>
                </c:pt>
              </c:numCache>
            </c:numRef>
          </c:val>
        </c:ser>
        <c:ser>
          <c:idx val="1"/>
          <c:order val="1"/>
          <c:tx>
            <c:strRef>
              <c:f>'SIP vs Lump Sum'!I9</c:f>
              <c:strCache>
                <c:ptCount val="1"/>
                <c:pt idx="0">
                  <c:v>Portfolio (₹)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'SIP vs Lump Sum'!$A$10:$A$34</c:f>
              <c:strCach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strCache>
            </c:strRef>
          </c:cat>
          <c:val>
            <c:numRef>
              <c:f>'SIP vs Lump Sum'!$I$10:$I$34</c:f>
              <c:numCache>
                <c:formatCode>#,##0</c:formatCode>
                <c:ptCount val="25"/>
                <c:pt idx="0">
                  <c:v>1344000</c:v>
                </c:pt>
                <c:pt idx="1">
                  <c:v>1505280</c:v>
                </c:pt>
                <c:pt idx="2">
                  <c:v>1685913.6</c:v>
                </c:pt>
                <c:pt idx="3">
                  <c:v>1888223.232</c:v>
                </c:pt>
                <c:pt idx="4">
                  <c:v>2114810.01984</c:v>
                </c:pt>
                <c:pt idx="5">
                  <c:v>2368587.2222208</c:v>
                </c:pt>
                <c:pt idx="6">
                  <c:v>2652817.6888873</c:v>
                </c:pt>
                <c:pt idx="7">
                  <c:v>2971155.81155377</c:v>
                </c:pt>
                <c:pt idx="8">
                  <c:v>3327694.50894023</c:v>
                </c:pt>
                <c:pt idx="9">
                  <c:v>3727017.85001305</c:v>
                </c:pt>
                <c:pt idx="10">
                  <c:v>4174259.99201462</c:v>
                </c:pt>
                <c:pt idx="11">
                  <c:v>4675171.19105638</c:v>
                </c:pt>
                <c:pt idx="12">
                  <c:v>5236191.73398314</c:v>
                </c:pt>
                <c:pt idx="13">
                  <c:v>5864534.74206112</c:v>
                </c:pt>
                <c:pt idx="14">
                  <c:v>6568278.91110846</c:v>
                </c:pt>
                <c:pt idx="15">
                  <c:v>7356472.38044147</c:v>
                </c:pt>
                <c:pt idx="16">
                  <c:v>8239249.06609445</c:v>
                </c:pt>
                <c:pt idx="17">
                  <c:v>9227958.95402578</c:v>
                </c:pt>
                <c:pt idx="18">
                  <c:v>10335314.0285089</c:v>
                </c:pt>
                <c:pt idx="19">
                  <c:v>11575551.7119299</c:v>
                </c:pt>
                <c:pt idx="20">
                  <c:v>12964617.9173615</c:v>
                </c:pt>
                <c:pt idx="21">
                  <c:v>14520372.0674449</c:v>
                </c:pt>
                <c:pt idx="22">
                  <c:v>16262816.7155383</c:v>
                </c:pt>
                <c:pt idx="23">
                  <c:v>18214354.7214029</c:v>
                </c:pt>
                <c:pt idx="24">
                  <c:v>20400077.2879713</c:v>
                </c:pt>
              </c:numCache>
            </c:numRef>
          </c:val>
        </c:ser>
        <c:axId val="85439203"/>
        <c:axId val="98460686"/>
      </c:areaChart>
      <c:catAx>
        <c:axId val="8543920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460686"/>
        <c:crosses val="autoZero"/>
        <c:auto val="1"/>
        <c:lblAlgn val="ctr"/>
        <c:lblOffset val="100"/>
        <c:noMultiLvlLbl val="0"/>
      </c:catAx>
      <c:valAx>
        <c:axId val="984606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Portfolio Value (₹)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5439203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36</xdr:row>
      <xdr:rowOff>0</xdr:rowOff>
    </xdr:from>
    <xdr:to>
      <xdr:col>6</xdr:col>
      <xdr:colOff>2389320</xdr:colOff>
      <xdr:row>62</xdr:row>
      <xdr:rowOff>86400</xdr:rowOff>
    </xdr:to>
    <xdr:graphicFrame>
      <xdr:nvGraphicFramePr>
        <xdr:cNvPr id="0" name="Chart 1"/>
        <xdr:cNvGraphicFramePr/>
      </xdr:nvGraphicFramePr>
      <xdr:xfrm>
        <a:off x="0" y="7238880"/>
        <a:ext cx="8639640" cy="50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16"/>
    <col collapsed="false" customWidth="true" hidden="false" outlineLevel="0" max="7" min="7" style="0" width="50"/>
    <col collapsed="false" customWidth="true" hidden="false" outlineLevel="0" max="11" min="8" style="0" width="16"/>
  </cols>
  <sheetData>
    <row r="1" customFormat="false" ht="4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3" t="s">
        <v>2</v>
      </c>
      <c r="B4" s="4" t="n">
        <v>10000</v>
      </c>
    </row>
    <row r="5" customFormat="false" ht="15" hidden="false" customHeight="false" outlineLevel="0" collapsed="false">
      <c r="A5" s="3" t="s">
        <v>3</v>
      </c>
      <c r="B5" s="4" t="n">
        <v>1200000</v>
      </c>
    </row>
    <row r="6" customFormat="false" ht="15" hidden="false" customHeight="false" outlineLevel="0" collapsed="false">
      <c r="A6" s="3" t="s">
        <v>4</v>
      </c>
      <c r="B6" s="5" t="n">
        <v>12</v>
      </c>
    </row>
    <row r="8" customFormat="false" ht="15" hidden="false" customHeight="false" outlineLevel="0" collapsed="false">
      <c r="A8" s="2" t="s">
        <v>5</v>
      </c>
      <c r="G8" s="2" t="s">
        <v>6</v>
      </c>
    </row>
    <row r="9" customFormat="false" ht="15" hidden="false" customHeight="false" outlineLevel="0" collapsed="false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</row>
    <row r="10" customFormat="false" ht="15" hidden="false" customHeight="false" outlineLevel="0" collapsed="false">
      <c r="A10" s="7" t="n">
        <v>1</v>
      </c>
      <c r="B10" s="7" t="n">
        <f aca="false">B4*12*1</f>
        <v>120000</v>
      </c>
      <c r="C10" s="7" t="n">
        <f aca="false">B4*((1+B6/100/12)^(1*12)-1)/(B6/100/12)*(1+B6/100/12)</f>
        <v>128093.280433289</v>
      </c>
      <c r="D10" s="8" t="n">
        <f aca="false">C10-B10</f>
        <v>8093.28043328946</v>
      </c>
      <c r="E10" s="9" t="n">
        <f aca="false">IF(B10&gt;0,D10/B10*100,0)</f>
        <v>6.74440036107455</v>
      </c>
      <c r="G10" s="7" t="n">
        <v>1</v>
      </c>
      <c r="H10" s="7" t="n">
        <f aca="false">B5</f>
        <v>1200000</v>
      </c>
      <c r="I10" s="7" t="n">
        <f aca="false">B5*(1+B6/100)^1</f>
        <v>1344000</v>
      </c>
      <c r="J10" s="8" t="n">
        <f aca="false">I10-H10</f>
        <v>144000</v>
      </c>
      <c r="K10" s="9" t="n">
        <f aca="false">IF(H10&gt;0,J10/H10*100,0)</f>
        <v>12</v>
      </c>
    </row>
    <row r="11" customFormat="false" ht="15" hidden="false" customHeight="false" outlineLevel="0" collapsed="false">
      <c r="A11" s="7" t="n">
        <v>2</v>
      </c>
      <c r="B11" s="7" t="n">
        <f aca="false">B4*12*2</f>
        <v>240000</v>
      </c>
      <c r="C11" s="7" t="n">
        <f aca="false">B4*((1+B6/100/12)^(2*12)-1)/(B6/100/12)*(1+B6/100/12)</f>
        <v>272431.995017234</v>
      </c>
      <c r="D11" s="10" t="n">
        <f aca="false">C11-B11</f>
        <v>32431.9950172339</v>
      </c>
      <c r="E11" s="9" t="n">
        <f aca="false">IF(B11&gt;0,D11/B11*100,0)</f>
        <v>13.5133312571808</v>
      </c>
      <c r="G11" s="7" t="n">
        <v>2</v>
      </c>
      <c r="H11" s="7" t="n">
        <f aca="false">B5</f>
        <v>1200000</v>
      </c>
      <c r="I11" s="7" t="n">
        <f aca="false">B5*(1+B6/100)^2</f>
        <v>1505280</v>
      </c>
      <c r="J11" s="10" t="n">
        <f aca="false">I11-H11</f>
        <v>305280</v>
      </c>
      <c r="K11" s="9" t="n">
        <f aca="false">IF(H11&gt;0,J11/H11*100,0)</f>
        <v>25.44</v>
      </c>
    </row>
    <row r="12" customFormat="false" ht="15" hidden="false" customHeight="false" outlineLevel="0" collapsed="false">
      <c r="A12" s="7" t="n">
        <v>3</v>
      </c>
      <c r="B12" s="7" t="n">
        <f aca="false">B4*12*3</f>
        <v>360000</v>
      </c>
      <c r="C12" s="7" t="n">
        <f aca="false">B4*((1+B6/100/12)^(3*12)-1)/(B6/100/12)*(1+B6/100/12)</f>
        <v>435076.471427497</v>
      </c>
      <c r="D12" s="11" t="n">
        <f aca="false">C12-B12</f>
        <v>75076.4714274968</v>
      </c>
      <c r="E12" s="9" t="n">
        <f aca="false">IF(B12&gt;0,D12/B12*100,0)</f>
        <v>20.8545753965269</v>
      </c>
      <c r="G12" s="7" t="n">
        <v>3</v>
      </c>
      <c r="H12" s="7" t="n">
        <f aca="false">B5</f>
        <v>1200000</v>
      </c>
      <c r="I12" s="7" t="n">
        <f aca="false">B5*(1+B6/100)^3</f>
        <v>1685913.6</v>
      </c>
      <c r="J12" s="11" t="n">
        <f aca="false">I12-H12</f>
        <v>485913.600000001</v>
      </c>
      <c r="K12" s="9" t="n">
        <f aca="false">IF(H12&gt;0,J12/H12*100,0)</f>
        <v>40.4928</v>
      </c>
    </row>
    <row r="13" customFormat="false" ht="15" hidden="false" customHeight="false" outlineLevel="0" collapsed="false">
      <c r="A13" s="7" t="n">
        <v>4</v>
      </c>
      <c r="B13" s="7" t="n">
        <f aca="false">B4*12*4</f>
        <v>480000</v>
      </c>
      <c r="C13" s="7" t="n">
        <f aca="false">B4*((1+B6/100/12)^(4*12)-1)/(B6/100/12)*(1+B6/100/12)</f>
        <v>618348.33845929</v>
      </c>
      <c r="D13" s="12" t="n">
        <f aca="false">C13-B13</f>
        <v>138348.33845929</v>
      </c>
      <c r="E13" s="9" t="n">
        <f aca="false">IF(B13&gt;0,D13/B13*100,0)</f>
        <v>28.822570512352</v>
      </c>
      <c r="G13" s="7" t="n">
        <v>4</v>
      </c>
      <c r="H13" s="7" t="n">
        <f aca="false">B5</f>
        <v>1200000</v>
      </c>
      <c r="I13" s="7" t="n">
        <f aca="false">B5*(1+B6/100)^4</f>
        <v>1888223.232</v>
      </c>
      <c r="J13" s="12" t="n">
        <f aca="false">I13-H13</f>
        <v>688223.232000001</v>
      </c>
      <c r="K13" s="9" t="n">
        <f aca="false">IF(H13&gt;0,J13/H13*100,0)</f>
        <v>57.3519360000001</v>
      </c>
    </row>
    <row r="14" customFormat="false" ht="15" hidden="false" customHeight="false" outlineLevel="0" collapsed="false">
      <c r="A14" s="7" t="n">
        <v>5</v>
      </c>
      <c r="B14" s="7" t="n">
        <f aca="false">B4*12*5</f>
        <v>600000</v>
      </c>
      <c r="C14" s="7" t="n">
        <f aca="false">B4*((1+B6/100/12)^(5*12)-1)/(B6/100/12)*(1+B6/100/12)</f>
        <v>824863.665549732</v>
      </c>
      <c r="D14" s="13" t="n">
        <f aca="false">C14-B14</f>
        <v>224863.665549732</v>
      </c>
      <c r="E14" s="9" t="n">
        <f aca="false">IF(B14&gt;0,D14/B14*100,0)</f>
        <v>37.4772775916221</v>
      </c>
      <c r="G14" s="7" t="n">
        <v>5</v>
      </c>
      <c r="H14" s="7" t="n">
        <f aca="false">B5</f>
        <v>1200000</v>
      </c>
      <c r="I14" s="7" t="n">
        <f aca="false">B5*(1+B6/100)^5</f>
        <v>2114810.01984</v>
      </c>
      <c r="J14" s="13" t="n">
        <f aca="false">I14-H14</f>
        <v>914810.019840001</v>
      </c>
      <c r="K14" s="9" t="n">
        <f aca="false">IF(H14&gt;0,J14/H14*100,0)</f>
        <v>76.2341683200001</v>
      </c>
    </row>
    <row r="15" customFormat="false" ht="15" hidden="false" customHeight="false" outlineLevel="0" collapsed="false">
      <c r="A15" s="7" t="n">
        <v>6</v>
      </c>
      <c r="B15" s="7" t="n">
        <f aca="false">B4*12*6</f>
        <v>720000</v>
      </c>
      <c r="C15" s="7" t="n">
        <f aca="false">B4*((1+B6/100/12)^(6*12)-1)/(B6/100/12)*(1+B6/100/12)</f>
        <v>1057570.30522113</v>
      </c>
      <c r="D15" s="14" t="n">
        <f aca="false">C15-B15</f>
        <v>337570.305221134</v>
      </c>
      <c r="E15" s="9" t="n">
        <f aca="false">IF(B15&gt;0,D15/B15*100,0)</f>
        <v>46.8847646140463</v>
      </c>
      <c r="G15" s="7" t="n">
        <v>6</v>
      </c>
      <c r="H15" s="7" t="n">
        <f aca="false">B5</f>
        <v>1200000</v>
      </c>
      <c r="I15" s="7" t="n">
        <f aca="false">B5*(1+B6/100)^6</f>
        <v>2368587.2222208</v>
      </c>
      <c r="J15" s="14" t="n">
        <f aca="false">I15-H15</f>
        <v>1168587.2222208</v>
      </c>
      <c r="K15" s="9" t="n">
        <f aca="false">IF(H15&gt;0,J15/H15*100,0)</f>
        <v>97.3822685184001</v>
      </c>
    </row>
    <row r="16" customFormat="false" ht="15" hidden="false" customHeight="false" outlineLevel="0" collapsed="false">
      <c r="A16" s="7" t="n">
        <v>7</v>
      </c>
      <c r="B16" s="7" t="n">
        <f aca="false">B4*12*7</f>
        <v>840000</v>
      </c>
      <c r="C16" s="7" t="n">
        <f aca="false">B4*((1+B6/100/12)^(7*12)-1)/(B6/100/12)*(1+B6/100/12)</f>
        <v>1319789.97148077</v>
      </c>
      <c r="D16" s="15" t="n">
        <f aca="false">C16-B16</f>
        <v>479789.97148077</v>
      </c>
      <c r="E16" s="9" t="n">
        <f aca="false">IF(B16&gt;0,D16/B16*100,0)</f>
        <v>57.1178537477107</v>
      </c>
      <c r="G16" s="7" t="n">
        <v>7</v>
      </c>
      <c r="H16" s="7" t="n">
        <f aca="false">B5</f>
        <v>1200000</v>
      </c>
      <c r="I16" s="7" t="n">
        <f aca="false">B5*(1+B6/100)^7</f>
        <v>2652817.6888873</v>
      </c>
      <c r="J16" s="15" t="n">
        <f aca="false">I16-H16</f>
        <v>1452817.6888873</v>
      </c>
      <c r="K16" s="9" t="n">
        <f aca="false">IF(H16&gt;0,J16/H16*100,0)</f>
        <v>121.068140740608</v>
      </c>
    </row>
    <row r="17" customFormat="false" ht="15" hidden="false" customHeight="false" outlineLevel="0" collapsed="false">
      <c r="A17" s="7" t="n">
        <v>8</v>
      </c>
      <c r="B17" s="7" t="n">
        <f aca="false">B4*12*8</f>
        <v>960000</v>
      </c>
      <c r="C17" s="7" t="n">
        <f aca="false">B4*((1+B6/100/12)^(8*12)-1)/(B6/100/12)*(1+B6/100/12)</f>
        <v>1615265.65481498</v>
      </c>
      <c r="D17" s="16" t="n">
        <f aca="false">C17-B17</f>
        <v>655265.65481498</v>
      </c>
      <c r="E17" s="9" t="n">
        <f aca="false">IF(B17&gt;0,D17/B17*100,0)</f>
        <v>68.256839043227</v>
      </c>
      <c r="G17" s="7" t="n">
        <v>8</v>
      </c>
      <c r="H17" s="7" t="n">
        <f aca="false">B5</f>
        <v>1200000</v>
      </c>
      <c r="I17" s="7" t="n">
        <f aca="false">B5*(1+B6/100)^8</f>
        <v>2971155.81155377</v>
      </c>
      <c r="J17" s="16" t="n">
        <f aca="false">I17-H17</f>
        <v>1771155.81155377</v>
      </c>
      <c r="K17" s="9" t="n">
        <f aca="false">IF(H17&gt;0,J17/H17*100,0)</f>
        <v>147.596317629481</v>
      </c>
    </row>
    <row r="18" customFormat="false" ht="15" hidden="false" customHeight="false" outlineLevel="0" collapsed="false">
      <c r="A18" s="7" t="n">
        <v>9</v>
      </c>
      <c r="B18" s="7" t="n">
        <f aca="false">B4*12*9</f>
        <v>1080000</v>
      </c>
      <c r="C18" s="7" t="n">
        <f aca="false">B4*((1+B6/100/12)^(9*12)-1)/(B6/100/12)*(1+B6/100/12)</f>
        <v>1948215.05059131</v>
      </c>
      <c r="D18" s="17" t="n">
        <f aca="false">C18-B18</f>
        <v>868215.050591315</v>
      </c>
      <c r="E18" s="9" t="n">
        <f aca="false">IF(B18&gt;0,D18/B18*100,0)</f>
        <v>80.3902824621588</v>
      </c>
      <c r="G18" s="7" t="n">
        <v>9</v>
      </c>
      <c r="H18" s="7" t="n">
        <f aca="false">B5</f>
        <v>1200000</v>
      </c>
      <c r="I18" s="7" t="n">
        <f aca="false">B5*(1+B6/100)^9</f>
        <v>3327694.50894023</v>
      </c>
      <c r="J18" s="17" t="n">
        <f aca="false">I18-H18</f>
        <v>2127694.50894023</v>
      </c>
      <c r="K18" s="9" t="n">
        <f aca="false">IF(H18&gt;0,J18/H18*100,0)</f>
        <v>177.307875745019</v>
      </c>
    </row>
    <row r="19" customFormat="false" ht="15" hidden="false" customHeight="false" outlineLevel="0" collapsed="false">
      <c r="A19" s="7" t="n">
        <v>10</v>
      </c>
      <c r="B19" s="7" t="n">
        <f aca="false">B4*12*10</f>
        <v>1200000</v>
      </c>
      <c r="C19" s="7" t="n">
        <f aca="false">B4*((1+B6/100/12)^(10*12)-1)/(B6/100/12)*(1+B6/100/12)</f>
        <v>2323390.76351941</v>
      </c>
      <c r="D19" s="18" t="n">
        <f aca="false">C19-B19</f>
        <v>1123390.76351941</v>
      </c>
      <c r="E19" s="9" t="n">
        <f aca="false">IF(B19&gt;0,D19/B19*100,0)</f>
        <v>93.6158969599505</v>
      </c>
      <c r="G19" s="7" t="n">
        <v>10</v>
      </c>
      <c r="H19" s="7" t="n">
        <f aca="false">B5</f>
        <v>1200000</v>
      </c>
      <c r="I19" s="7" t="n">
        <f aca="false">B5*(1+B6/100)^10</f>
        <v>3727017.85001305</v>
      </c>
      <c r="J19" s="18" t="n">
        <f aca="false">I19-H19</f>
        <v>2527017.85001305</v>
      </c>
      <c r="K19" s="9" t="n">
        <f aca="false">IF(H19&gt;0,J19/H19*100,0)</f>
        <v>210.584820834421</v>
      </c>
    </row>
    <row r="20" customFormat="false" ht="15" hidden="false" customHeight="false" outlineLevel="0" collapsed="false">
      <c r="A20" s="7" t="n">
        <v>11</v>
      </c>
      <c r="B20" s="7" t="n">
        <f aca="false">B4*12*11</f>
        <v>1320000</v>
      </c>
      <c r="C20" s="7" t="n">
        <f aca="false">B4*((1+B6/100/12)^(11*12)-1)/(B6/100/12)*(1+B6/100/12)</f>
        <v>2746148.14754438</v>
      </c>
      <c r="D20" s="19" t="n">
        <f aca="false">C20-B20</f>
        <v>1426148.14754438</v>
      </c>
      <c r="E20" s="9" t="n">
        <f aca="false">IF(B20&gt;0,D20/B20*100,0)</f>
        <v>108.04152632912</v>
      </c>
      <c r="G20" s="7" t="n">
        <v>11</v>
      </c>
      <c r="H20" s="7" t="n">
        <f aca="false">B5</f>
        <v>1200000</v>
      </c>
      <c r="I20" s="7" t="n">
        <f aca="false">B5*(1+B6/100)^11</f>
        <v>4174259.99201462</v>
      </c>
      <c r="J20" s="19" t="n">
        <f aca="false">I20-H20</f>
        <v>2974259.99201462</v>
      </c>
      <c r="K20" s="9" t="n">
        <f aca="false">IF(H20&gt;0,J20/H20*100,0)</f>
        <v>247.854999334552</v>
      </c>
    </row>
    <row r="21" customFormat="false" ht="15" hidden="false" customHeight="false" outlineLevel="0" collapsed="false">
      <c r="A21" s="7" t="n">
        <v>12</v>
      </c>
      <c r="B21" s="7" t="n">
        <f aca="false">B4*12*12</f>
        <v>1440000</v>
      </c>
      <c r="C21" s="7" t="n">
        <f aca="false">B4*((1+B6/100/12)^(12*12)-1)/(B6/100/12)*(1+B6/100/12)</f>
        <v>3222521.74953684</v>
      </c>
      <c r="D21" s="20" t="n">
        <f aca="false">C21-B21</f>
        <v>1782521.74953684</v>
      </c>
      <c r="E21" s="9" t="n">
        <f aca="false">IF(B21&gt;0,D21/B21*100,0)</f>
        <v>123.786232606725</v>
      </c>
      <c r="G21" s="7" t="n">
        <v>12</v>
      </c>
      <c r="H21" s="7" t="n">
        <f aca="false">B5</f>
        <v>1200000</v>
      </c>
      <c r="I21" s="7" t="n">
        <f aca="false">B5*(1+B6/100)^12</f>
        <v>4675171.19105638</v>
      </c>
      <c r="J21" s="20" t="n">
        <f aca="false">I21-H21</f>
        <v>3475171.19105638</v>
      </c>
      <c r="K21" s="9" t="n">
        <f aca="false">IF(H21&gt;0,J21/H21*100,0)</f>
        <v>289.597599254698</v>
      </c>
    </row>
    <row r="22" customFormat="false" ht="15" hidden="false" customHeight="false" outlineLevel="0" collapsed="false">
      <c r="A22" s="7" t="n">
        <v>13</v>
      </c>
      <c r="B22" s="7" t="n">
        <f aca="false">B4*12*13</f>
        <v>1560000</v>
      </c>
      <c r="C22" s="7" t="n">
        <f aca="false">B4*((1+B6/100/12)^(13*12)-1)/(B6/100/12)*(1+B6/100/12)</f>
        <v>3759311.44795607</v>
      </c>
      <c r="D22" s="21" t="n">
        <f aca="false">C22-B22</f>
        <v>2199311.44795607</v>
      </c>
      <c r="E22" s="9" t="n">
        <f aca="false">IF(B22&gt;0,D22/B22*100,0)</f>
        <v>140.981503074107</v>
      </c>
      <c r="G22" s="7" t="n">
        <v>13</v>
      </c>
      <c r="H22" s="7" t="n">
        <f aca="false">B5</f>
        <v>1200000</v>
      </c>
      <c r="I22" s="7" t="n">
        <f aca="false">B5*(1+B6/100)^13</f>
        <v>5236191.73398314</v>
      </c>
      <c r="J22" s="21" t="n">
        <f aca="false">I22-H22</f>
        <v>4036191.73398314</v>
      </c>
      <c r="K22" s="9" t="n">
        <f aca="false">IF(H22&gt;0,J22/H22*100,0)</f>
        <v>336.349311165262</v>
      </c>
    </row>
    <row r="23" customFormat="false" ht="15" hidden="false" customHeight="false" outlineLevel="0" collapsed="false">
      <c r="A23" s="7" t="n">
        <v>14</v>
      </c>
      <c r="B23" s="7" t="n">
        <f aca="false">B4*12*14</f>
        <v>1680000</v>
      </c>
      <c r="C23" s="7" t="n">
        <f aca="false">B4*((1+B6/100/12)^(14*12)-1)/(B6/100/12)*(1+B6/100/12)</f>
        <v>4364179.51605185</v>
      </c>
      <c r="D23" s="22" t="n">
        <f aca="false">C23-B23</f>
        <v>2684179.51605185</v>
      </c>
      <c r="E23" s="9" t="n">
        <f aca="false">IF(B23&gt;0,D23/B23*100,0)</f>
        <v>159.772590241181</v>
      </c>
      <c r="G23" s="7" t="n">
        <v>14</v>
      </c>
      <c r="H23" s="7" t="n">
        <f aca="false">B5</f>
        <v>1200000</v>
      </c>
      <c r="I23" s="7" t="n">
        <f aca="false">B5*(1+B6/100)^14</f>
        <v>5864534.74206112</v>
      </c>
      <c r="J23" s="22" t="n">
        <f aca="false">I23-H23</f>
        <v>4664534.74206112</v>
      </c>
      <c r="K23" s="9" t="n">
        <f aca="false">IF(H23&gt;0,J23/H23*100,0)</f>
        <v>388.711228505093</v>
      </c>
    </row>
    <row r="24" customFormat="false" ht="15" hidden="false" customHeight="false" outlineLevel="0" collapsed="false">
      <c r="A24" s="7" t="n">
        <v>15</v>
      </c>
      <c r="B24" s="7" t="n">
        <f aca="false">B4*12*15</f>
        <v>1800000</v>
      </c>
      <c r="C24" s="7" t="n">
        <f aca="false">B4*((1+B6/100/12)^(15*12)-1)/(B6/100/12)*(1+B6/100/12)</f>
        <v>5045759.99510974</v>
      </c>
      <c r="D24" s="23" t="n">
        <f aca="false">C24-B24</f>
        <v>3245759.99510974</v>
      </c>
      <c r="E24" s="9" t="n">
        <f aca="false">IF(B24&gt;0,D24/B24*100,0)</f>
        <v>180.319999728319</v>
      </c>
      <c r="G24" s="7" t="n">
        <v>15</v>
      </c>
      <c r="H24" s="7" t="n">
        <f aca="false">B5</f>
        <v>1200000</v>
      </c>
      <c r="I24" s="7" t="n">
        <f aca="false">B5*(1+B6/100)^15</f>
        <v>6568278.91110846</v>
      </c>
      <c r="J24" s="23" t="n">
        <f aca="false">I24-H24</f>
        <v>5368278.91110846</v>
      </c>
      <c r="K24" s="9" t="n">
        <f aca="false">IF(H24&gt;0,J24/H24*100,0)</f>
        <v>447.356575925705</v>
      </c>
    </row>
    <row r="25" customFormat="false" ht="15" hidden="false" customHeight="false" outlineLevel="0" collapsed="false">
      <c r="A25" s="7" t="n">
        <v>16</v>
      </c>
      <c r="B25" s="7" t="n">
        <f aca="false">B4*12*16</f>
        <v>1920000</v>
      </c>
      <c r="C25" s="7" t="n">
        <f aca="false">B4*((1+B6/100/12)^(16*12)-1)/(B6/100/12)*(1+B6/100/12)</f>
        <v>5813781.93896151</v>
      </c>
      <c r="D25" s="24" t="n">
        <f aca="false">C25-B25</f>
        <v>3893781.93896151</v>
      </c>
      <c r="E25" s="9" t="n">
        <f aca="false">IF(B25&gt;0,D25/B25*100,0)</f>
        <v>202.801142654245</v>
      </c>
      <c r="G25" s="7" t="n">
        <v>16</v>
      </c>
      <c r="H25" s="7" t="n">
        <f aca="false">B5</f>
        <v>1200000</v>
      </c>
      <c r="I25" s="7" t="n">
        <f aca="false">B5*(1+B6/100)^16</f>
        <v>7356472.38044147</v>
      </c>
      <c r="J25" s="24" t="n">
        <f aca="false">I25-H25</f>
        <v>6156472.38044147</v>
      </c>
      <c r="K25" s="9" t="n">
        <f aca="false">IF(H25&gt;0,J25/H25*100,0)</f>
        <v>513.039365036789</v>
      </c>
    </row>
    <row r="26" customFormat="false" ht="15" hidden="false" customHeight="false" outlineLevel="0" collapsed="false">
      <c r="A26" s="7" t="n">
        <v>17</v>
      </c>
      <c r="B26" s="7" t="n">
        <f aca="false">B4*12*17</f>
        <v>2040000</v>
      </c>
      <c r="C26" s="7" t="n">
        <f aca="false">B4*((1+B6/100/12)^(17*12)-1)/(B6/100/12)*(1+B6/100/12)</f>
        <v>6679208.28898429</v>
      </c>
      <c r="D26" s="25" t="n">
        <f aca="false">C26-B26</f>
        <v>4639208.28898429</v>
      </c>
      <c r="E26" s="9" t="n">
        <f aca="false">IF(B26&gt;0,D26/B26*100,0)</f>
        <v>227.412171028642</v>
      </c>
      <c r="G26" s="7" t="n">
        <v>17</v>
      </c>
      <c r="H26" s="7" t="n">
        <f aca="false">B5</f>
        <v>1200000</v>
      </c>
      <c r="I26" s="7" t="n">
        <f aca="false">B5*(1+B6/100)^17</f>
        <v>8239249.06609445</v>
      </c>
      <c r="J26" s="25" t="n">
        <f aca="false">I26-H26</f>
        <v>7039249.06609445</v>
      </c>
      <c r="K26" s="9" t="n">
        <f aca="false">IF(H26&gt;0,J26/H26*100,0)</f>
        <v>586.604088841204</v>
      </c>
    </row>
    <row r="27" customFormat="false" ht="15" hidden="false" customHeight="false" outlineLevel="0" collapsed="false">
      <c r="A27" s="7" t="n">
        <v>18</v>
      </c>
      <c r="B27" s="7" t="n">
        <f aca="false">B4*12*18</f>
        <v>2160000</v>
      </c>
      <c r="C27" s="7" t="n">
        <f aca="false">B4*((1+B6/100/12)^(18*12)-1)/(B6/100/12)*(1+B6/100/12)</f>
        <v>7654392.36192572</v>
      </c>
      <c r="D27" s="26" t="n">
        <f aca="false">C27-B27</f>
        <v>5494392.36192572</v>
      </c>
      <c r="E27" s="9" t="n">
        <f aca="false">IF(B27&gt;0,D27/B27*100,0)</f>
        <v>254.37001675582</v>
      </c>
      <c r="G27" s="7" t="n">
        <v>18</v>
      </c>
      <c r="H27" s="7" t="n">
        <f aca="false">B5</f>
        <v>1200000</v>
      </c>
      <c r="I27" s="7" t="n">
        <f aca="false">B5*(1+B6/100)^18</f>
        <v>9227958.95402578</v>
      </c>
      <c r="J27" s="26" t="n">
        <f aca="false">I27-H27</f>
        <v>8027958.95402578</v>
      </c>
      <c r="K27" s="9" t="n">
        <f aca="false">IF(H27&gt;0,J27/H27*100,0)</f>
        <v>668.996579502149</v>
      </c>
    </row>
    <row r="28" customFormat="false" ht="15" hidden="false" customHeight="false" outlineLevel="0" collapsed="false">
      <c r="A28" s="7" t="n">
        <v>19</v>
      </c>
      <c r="B28" s="7" t="n">
        <f aca="false">B4*12*19</f>
        <v>2280000</v>
      </c>
      <c r="C28" s="7" t="n">
        <f aca="false">B4*((1+B6/100/12)^(19*12)-1)/(B6/100/12)*(1+B6/100/12)</f>
        <v>8753254.18430216</v>
      </c>
      <c r="D28" s="27" t="n">
        <f aca="false">C28-B28</f>
        <v>6473254.18430216</v>
      </c>
      <c r="E28" s="9" t="n">
        <f aca="false">IF(B28&gt;0,D28/B28*100,0)</f>
        <v>283.914657206235</v>
      </c>
      <c r="G28" s="7" t="n">
        <v>19</v>
      </c>
      <c r="H28" s="7" t="n">
        <f aca="false">B5</f>
        <v>1200000</v>
      </c>
      <c r="I28" s="7" t="n">
        <f aca="false">B5*(1+B6/100)^19</f>
        <v>10335314.0285089</v>
      </c>
      <c r="J28" s="27" t="n">
        <f aca="false">I28-H28</f>
        <v>9135314.02850888</v>
      </c>
      <c r="K28" s="9" t="n">
        <f aca="false">IF(H28&gt;0,J28/H28*100,0)</f>
        <v>761.276169042406</v>
      </c>
    </row>
    <row r="29" customFormat="false" ht="15" hidden="false" customHeight="false" outlineLevel="0" collapsed="false">
      <c r="A29" s="7" t="n">
        <v>20</v>
      </c>
      <c r="B29" s="7" t="n">
        <f aca="false">B4*12*20</f>
        <v>2400000</v>
      </c>
      <c r="C29" s="7" t="n">
        <f aca="false">B4*((1+B6/100/12)^(20*12)-1)/(B6/100/12)*(1+B6/100/12)</f>
        <v>9991479.19041236</v>
      </c>
      <c r="D29" s="28" t="n">
        <f aca="false">C29-B29</f>
        <v>7591479.19041236</v>
      </c>
      <c r="E29" s="9" t="n">
        <f aca="false">IF(B29&gt;0,D29/B29*100,0)</f>
        <v>316.311632933848</v>
      </c>
      <c r="G29" s="7" t="n">
        <v>20</v>
      </c>
      <c r="H29" s="7" t="n">
        <f aca="false">B5</f>
        <v>1200000</v>
      </c>
      <c r="I29" s="7" t="n">
        <f aca="false">B5*(1+B6/100)^20</f>
        <v>11575551.7119299</v>
      </c>
      <c r="J29" s="28" t="n">
        <f aca="false">I29-H29</f>
        <v>10375551.7119299</v>
      </c>
      <c r="K29" s="9" t="n">
        <f aca="false">IF(H29&gt;0,J29/H29*100,0)</f>
        <v>864.629309327495</v>
      </c>
    </row>
    <row r="30" customFormat="false" ht="15" hidden="false" customHeight="false" outlineLevel="0" collapsed="false">
      <c r="A30" s="7" t="n">
        <v>21</v>
      </c>
      <c r="B30" s="7" t="n">
        <f aca="false">B4*12*21</f>
        <v>2520000</v>
      </c>
      <c r="C30" s="7" t="n">
        <f aca="false">B4*((1+B6/100/12)^(21*12)-1)/(B6/100/12)*(1+B6/100/12)</f>
        <v>11386742.1202326</v>
      </c>
      <c r="D30" s="29" t="n">
        <f aca="false">C30-B30</f>
        <v>8866742.12023265</v>
      </c>
      <c r="E30" s="9" t="n">
        <f aca="false">IF(B30&gt;0,D30/B30*100,0)</f>
        <v>351.854846040978</v>
      </c>
      <c r="G30" s="7" t="n">
        <v>21</v>
      </c>
      <c r="H30" s="7" t="n">
        <f aca="false">B5</f>
        <v>1200000</v>
      </c>
      <c r="I30" s="7" t="n">
        <f aca="false">B5*(1+B6/100)^21</f>
        <v>12964617.9173615</v>
      </c>
      <c r="J30" s="29" t="n">
        <f aca="false">I30-H30</f>
        <v>11764617.9173615</v>
      </c>
      <c r="K30" s="9" t="n">
        <f aca="false">IF(H30&gt;0,J30/H30*100,0)</f>
        <v>980.384826446795</v>
      </c>
    </row>
    <row r="31" customFormat="false" ht="15" hidden="false" customHeight="false" outlineLevel="0" collapsed="false">
      <c r="A31" s="7" t="n">
        <v>22</v>
      </c>
      <c r="B31" s="7" t="n">
        <f aca="false">B4*12*22</f>
        <v>2640000</v>
      </c>
      <c r="C31" s="7" t="n">
        <f aca="false">B4*((1+B6/100/12)^(22*12)-1)/(B6/100/12)*(1+B6/100/12)</f>
        <v>12958959.3131694</v>
      </c>
      <c r="D31" s="30" t="n">
        <f aca="false">C31-B31</f>
        <v>10318959.3131694</v>
      </c>
      <c r="E31" s="9" t="n">
        <f aca="false">IF(B31&gt;0,D31/B31*100,0)</f>
        <v>390.869670953387</v>
      </c>
      <c r="G31" s="7" t="n">
        <v>22</v>
      </c>
      <c r="H31" s="7" t="n">
        <f aca="false">B5</f>
        <v>1200000</v>
      </c>
      <c r="I31" s="7" t="n">
        <f aca="false">B5*(1+B6/100)^22</f>
        <v>14520372.0674449</v>
      </c>
      <c r="J31" s="30" t="n">
        <f aca="false">I31-H31</f>
        <v>13320372.0674449</v>
      </c>
      <c r="K31" s="9" t="n">
        <f aca="false">IF(H31&gt;0,J31/H31*100,0)</f>
        <v>1110.03100562041</v>
      </c>
    </row>
    <row r="32" customFormat="false" ht="15" hidden="false" customHeight="false" outlineLevel="0" collapsed="false">
      <c r="A32" s="7" t="n">
        <v>23</v>
      </c>
      <c r="B32" s="7" t="n">
        <f aca="false">B4*12*23</f>
        <v>2760000</v>
      </c>
      <c r="C32" s="7" t="n">
        <f aca="false">B4*((1+B6/100/12)^(23*12)-1)/(B6/100/12)*(1+B6/100/12)</f>
        <v>14730572.9989744</v>
      </c>
      <c r="D32" s="31" t="n">
        <f aca="false">C32-B32</f>
        <v>11970572.9989744</v>
      </c>
      <c r="E32" s="9" t="n">
        <f aca="false">IF(B32&gt;0,D32/B32*100,0)</f>
        <v>433.716413006318</v>
      </c>
      <c r="G32" s="7" t="n">
        <v>23</v>
      </c>
      <c r="H32" s="7" t="n">
        <f aca="false">B5</f>
        <v>1200000</v>
      </c>
      <c r="I32" s="7" t="n">
        <f aca="false">B5*(1+B6/100)^23</f>
        <v>16262816.7155383</v>
      </c>
      <c r="J32" s="31" t="n">
        <f aca="false">I32-H32</f>
        <v>15062816.7155383</v>
      </c>
      <c r="K32" s="9" t="n">
        <f aca="false">IF(H32&gt;0,J32/H32*100,0)</f>
        <v>1255.23472629486</v>
      </c>
    </row>
    <row r="33" customFormat="false" ht="15" hidden="false" customHeight="false" outlineLevel="0" collapsed="false">
      <c r="A33" s="7" t="n">
        <v>24</v>
      </c>
      <c r="B33" s="7" t="n">
        <f aca="false">B4*12*24</f>
        <v>2880000</v>
      </c>
      <c r="C33" s="7" t="n">
        <f aca="false">B4*((1+B6/100/12)^(24*12)-1)/(B6/100/12)*(1+B6/100/12)</f>
        <v>16726871.6438638</v>
      </c>
      <c r="D33" s="32" t="n">
        <f aca="false">C33-B33</f>
        <v>13846871.6438638</v>
      </c>
      <c r="E33" s="9" t="n">
        <f aca="false">IF(B33&gt;0,D33/B33*100,0)</f>
        <v>480.794154300826</v>
      </c>
      <c r="G33" s="7" t="n">
        <v>24</v>
      </c>
      <c r="H33" s="7" t="n">
        <f aca="false">B5</f>
        <v>1200000</v>
      </c>
      <c r="I33" s="7" t="n">
        <f aca="false">B5*(1+B6/100)^24</f>
        <v>18214354.7214029</v>
      </c>
      <c r="J33" s="32" t="n">
        <f aca="false">I33-H33</f>
        <v>17014354.7214029</v>
      </c>
      <c r="K33" s="9" t="n">
        <f aca="false">IF(H33&gt;0,J33/H33*100,0)</f>
        <v>1417.86289345024</v>
      </c>
    </row>
    <row r="34" customFormat="false" ht="15" hidden="false" customHeight="false" outlineLevel="0" collapsed="false">
      <c r="A34" s="7" t="n">
        <v>25</v>
      </c>
      <c r="B34" s="7" t="n">
        <f aca="false">B4*12*25</f>
        <v>3000000</v>
      </c>
      <c r="C34" s="7" t="n">
        <f aca="false">B4*((1+B6/100/12)^(25*12)-1)/(B6/100/12)*(1+B6/100/12)</f>
        <v>18976350.9245437</v>
      </c>
      <c r="D34" s="33" t="n">
        <f aca="false">C34-B34</f>
        <v>15976350.9245437</v>
      </c>
      <c r="E34" s="9" t="n">
        <f aca="false">IF(B34&gt;0,D34/B34*100,0)</f>
        <v>532.545030818123</v>
      </c>
      <c r="G34" s="7" t="n">
        <v>25</v>
      </c>
      <c r="H34" s="7" t="n">
        <f aca="false">B5</f>
        <v>1200000</v>
      </c>
      <c r="I34" s="7" t="n">
        <f aca="false">B5*(1+B6/100)^25</f>
        <v>20400077.2879713</v>
      </c>
      <c r="J34" s="33" t="n">
        <f aca="false">I34-H34</f>
        <v>19200077.2879713</v>
      </c>
      <c r="K34" s="9" t="n">
        <f aca="false">IF(H34&gt;0,J34/H34*100,0)</f>
        <v>1600.00644066427</v>
      </c>
    </row>
    <row r="36" customFormat="false" ht="15" hidden="false" customHeight="false" outlineLevel="0" collapsed="false">
      <c r="G36" s="34" t="s">
        <v>12</v>
      </c>
    </row>
    <row r="37" customFormat="false" ht="15" hidden="false" customHeight="false" outlineLevel="0" collapsed="false">
      <c r="G37" s="35" t="str">
        <f aca="false">"Your ₹"&amp;TEXT(B4,"##,##0")&amp;"/month SIP becomes ₹"&amp;TEXT(C29,"##,##0")&amp;" in 20 years"</f>
        <v>Your ₹10,000/month SIP becomes ₹9,991,479 in 20 years</v>
      </c>
    </row>
    <row r="38" customFormat="false" ht="15" hidden="false" customHeight="false" outlineLevel="0" collapsed="false">
      <c r="G38" s="35" t="str">
        <f aca="false">"Thats "&amp;TEXT(C29/(B4*12*20),"0.0")&amp;"x your invested money!"</f>
        <v>Thats 4.2x your invested money!</v>
      </c>
    </row>
  </sheetData>
  <mergeCells count="1">
    <mergeCell ref="A1:L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2026-03-07T08:58:30Z</dcterms:created>
  <dc:creator>openpyxl</dc:creator>
  <dc:description/>
  <dc:language>en-US</dc:language>
  <cp:lastModifiedBy/>
  <dcterms:modified xsi:type="dcterms:W3CDTF">2026-03-07T09:04:21Z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